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ir only pressure drop"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<sst xmlns="http://schemas.openxmlformats.org/spreadsheetml/2006/main" count="111" uniqueCount="85">
  <si>
    <t xml:space="preserve">FOR EDUCATIONAL PURPOSE ONLY – DO NOT USE THIS METHOD FOR DETAIL DESIGN – ALWAYS CONSULT A REPUTABLE SUPPLIER FOR DETAIL DESIGN</t>
  </si>
  <si>
    <t xml:space="preserve">WARNING domain of applicability : This model is only valid in LEAN PHASE</t>
  </si>
  <si>
    <t xml:space="preserve">Design data</t>
  </si>
  <si>
    <t xml:space="preserve">Air velocity</t>
  </si>
  <si>
    <t xml:space="preserve">Transport by</t>
  </si>
  <si>
    <t xml:space="preserve">Pressure</t>
  </si>
  <si>
    <t xml:space="preserve">Air velocity at compressor discharge</t>
  </si>
  <si>
    <t xml:space="preserve">C1</t>
  </si>
  <si>
    <t xml:space="preserve">m/s</t>
  </si>
  <si>
    <t xml:space="preserve">Material</t>
  </si>
  <si>
    <t xml:space="preserve">Test</t>
  </si>
  <si>
    <t xml:space="preserve">Air velocity at end of pipe</t>
  </si>
  <si>
    <t xml:space="preserve">C2</t>
  </si>
  <si>
    <t xml:space="preserve">Line capacity</t>
  </si>
  <si>
    <t xml:space="preserve">kg/h</t>
  </si>
  <si>
    <t xml:space="preserve">Mean air velocity</t>
  </si>
  <si>
    <t xml:space="preserve">C</t>
  </si>
  <si>
    <t xml:space="preserve">Assumed pressure drop</t>
  </si>
  <si>
    <t xml:space="preserve">mbar</t>
  </si>
  <si>
    <t xml:space="preserve">Minimum air conveying velocity</t>
  </si>
  <si>
    <t xml:space="preserve">Friction coefficient</t>
  </si>
  <si>
    <t xml:space="preserve">Recommended pick-up velocity</t>
  </si>
  <si>
    <t xml:space="preserve">lambda</t>
  </si>
  <si>
    <t xml:space="preserve"> -</t>
  </si>
  <si>
    <t xml:space="preserve">FANNING</t>
  </si>
  <si>
    <t xml:space="preserve">Gas nature</t>
  </si>
  <si>
    <t xml:space="preserve">Air</t>
  </si>
  <si>
    <t xml:space="preserve">Reynolds number</t>
  </si>
  <si>
    <t xml:space="preserve">Re</t>
  </si>
  <si>
    <t xml:space="preserve">Molecular mass</t>
  </si>
  <si>
    <t xml:space="preserve">M</t>
  </si>
  <si>
    <t xml:space="preserve">g/mol</t>
  </si>
  <si>
    <t xml:space="preserve">f (Moody)</t>
  </si>
  <si>
    <t xml:space="preserve">Air viscosity</t>
  </si>
  <si>
    <t xml:space="preserve">mu_g</t>
  </si>
  <si>
    <t xml:space="preserve">Pa.s</t>
  </si>
  <si>
    <t xml:space="preserve">A</t>
  </si>
  <si>
    <t xml:space="preserve">Temperature at compressor discharge</t>
  </si>
  <si>
    <t xml:space="preserve">Ta</t>
  </si>
  <si>
    <t xml:space="preserve">°c</t>
  </si>
  <si>
    <t xml:space="preserve">B</t>
  </si>
  <si>
    <t xml:space="preserve">Pressure at compressor discharge</t>
  </si>
  <si>
    <t xml:space="preserve">p</t>
  </si>
  <si>
    <t xml:space="preserve">bar g</t>
  </si>
  <si>
    <t xml:space="preserve">Specific weight of gas at compressor discharge</t>
  </si>
  <si>
    <t xml:space="preserve">r_g1</t>
  </si>
  <si>
    <t xml:space="preserve">kg/m3</t>
  </si>
  <si>
    <t xml:space="preserve">Pressure at reception</t>
  </si>
  <si>
    <t xml:space="preserve">p2</t>
  </si>
  <si>
    <t xml:space="preserve">Psi</t>
  </si>
  <si>
    <t xml:space="preserve">Required volumetric throughput at pick-up</t>
  </si>
  <si>
    <t xml:space="preserve">m3/h</t>
  </si>
  <si>
    <t xml:space="preserve">Pressure Conveying</t>
  </si>
  <si>
    <t xml:space="preserve">Compressor air mass flowrate</t>
  </si>
  <si>
    <t xml:space="preserve">ma</t>
  </si>
  <si>
    <t xml:space="preserve">Dpa</t>
  </si>
  <si>
    <t xml:space="preserve">bar</t>
  </si>
  <si>
    <t xml:space="preserve">(air only pressure drop corrected with average air velocity)</t>
  </si>
  <si>
    <t xml:space="preserve">kg/s</t>
  </si>
  <si>
    <t xml:space="preserve">(abs pressure at blower discharge)</t>
  </si>
  <si>
    <t xml:space="preserve">DPc</t>
  </si>
  <si>
    <t xml:space="preserve">(actual pressure with product)</t>
  </si>
  <si>
    <t xml:space="preserve">Pipe layout - please fill other spreadsheet</t>
  </si>
  <si>
    <t xml:space="preserve">Vacuum Conveying</t>
  </si>
  <si>
    <t xml:space="preserve">Pipe diameter</t>
  </si>
  <si>
    <t xml:space="preserve">d</t>
  </si>
  <si>
    <t xml:space="preserve">m</t>
  </si>
  <si>
    <t xml:space="preserve">(air only pressure drop)</t>
  </si>
  <si>
    <t xml:space="preserve">Pipe roughness</t>
  </si>
  <si>
    <t xml:space="preserve">e</t>
  </si>
  <si>
    <t xml:space="preserve">mm</t>
  </si>
  <si>
    <t xml:space="preserve">Pipe horizontal length</t>
  </si>
  <si>
    <t xml:space="preserve">Pipe vertical length</t>
  </si>
  <si>
    <t xml:space="preserve">Number of bends</t>
  </si>
  <si>
    <t xml:space="preserve">Pipe length</t>
  </si>
  <si>
    <t xml:space="preserve">L</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</si>
  <si>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</si>
  <si>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</si>
  <si>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</si>
  <si>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P2^2</t>
  </si>
  <si>
    <t xml:space="preserve">Pressure drop Pipe only</t>
  </si>
  <si>
    <t xml:space="preserve">DP</t>
  </si>
  <si>
    <t xml:space="preserve">Pa</t>
  </si>
  <si>
    <t xml:space="preserve">Pressure drop actual pipe</t>
  </si>
  <si>
    <t xml:space="preserve">Vacuum</t>
  </si>
</sst>
</file>

<file path=xl/styles.xml><?xml version="1.0" encoding="utf-8"?>
<styleSheet xmlns="http://schemas.openxmlformats.org/spreadsheetml/2006/main">
  <numFmts count="6">
    <numFmt numFmtId="164" formatCode="General"/>
    <numFmt numFmtId="165" formatCode="General"/>
    <numFmt numFmtId="166" formatCode="0.00E+00"/>
    <numFmt numFmtId="167" formatCode="0.0"/>
    <numFmt numFmtId="168" formatCode="0.00"/>
    <numFmt numFmtId="169" formatCode="0"/>
  </numFmts>
  <fonts count="14">
    <font>
      <sz val="10"/>
      <name val="Arial"/>
      <family val="2"/>
      <charset val="1"/>
    </font>
    <font>
      <sz val="10"/>
      <name val="Arial"/>
      <family val="0"/>
      <charset val="134"/>
    </font>
    <font>
      <sz val="10"/>
      <name val="Arial"/>
      <family val="0"/>
      <charset val="134"/>
    </font>
    <font>
      <sz val="10"/>
      <name val="Arial"/>
      <family val="0"/>
      <charset val="134"/>
    </font>
    <font>
      <b val="true"/>
      <sz val="11"/>
      <color rgb="FFFF0000"/>
      <name val="Calibri"/>
      <family val="2"/>
      <charset val="1"/>
    </font>
    <font>
      <b val="true"/>
      <sz val="11"/>
      <color rgb="FF000000"/>
      <name val="Calibri"/>
      <family val="2"/>
      <charset val="1"/>
    </font>
    <font>
      <b val="true"/>
      <sz val="11"/>
      <color rgb="FF21409A"/>
      <name val="Calibri"/>
      <family val="2"/>
      <charset val="1"/>
    </font>
    <font>
      <b val="true"/>
      <sz val="11"/>
      <color rgb="FFED1C24"/>
      <name val="Calibri"/>
      <family val="2"/>
      <charset val="1"/>
    </font>
    <font>
      <sz val="11"/>
      <color rgb="FFFF0000"/>
      <name val="Calibri"/>
      <family val="2"/>
      <charset val="1"/>
    </font>
    <font>
      <sz val="10"/>
      <color rgb="FFED1C24"/>
      <name val="Arial"/>
      <family val="2"/>
      <charset val="1"/>
    </font>
    <font>
      <sz val="10"/>
      <color rgb="FF0000FF"/>
      <name val="Arial"/>
      <family val="2"/>
      <charset val="1"/>
    </font>
    <font>
      <sz val="10"/>
      <name val="Times New Roman"/>
      <family val="1"/>
      <charset val="1"/>
    </font>
    <font>
      <i val="true"/>
      <sz val="7"/>
      <name val="Times New Roman"/>
      <family val="1"/>
      <charset val="1"/>
    </font>
    <font>
      <sz val="12"/>
      <color rgb="FFCE181E"/>
      <name val="Times New Roman"/>
      <family val="0"/>
      <charset val="134"/>
    </font>
  </fonts>
  <fills count="8">
    <fill>
      <patternFill patternType="none"/>
    </fill>
    <fill>
      <patternFill patternType="gray125"/>
    </fill>
    <fill>
      <patternFill patternType="solid">
        <fgColor rgb="FFF10D0C"/>
        <bgColor rgb="FFFF0000"/>
      </patternFill>
    </fill>
    <fill>
      <patternFill patternType="solid">
        <fgColor rgb="FF8F93C7"/>
        <bgColor rgb="FF9999FF"/>
      </patternFill>
    </fill>
    <fill>
      <patternFill patternType="solid">
        <fgColor rgb="FF89C765"/>
        <bgColor rgb="FFC0C0C0"/>
      </patternFill>
    </fill>
    <fill>
      <patternFill patternType="solid">
        <fgColor rgb="FFF9A870"/>
        <bgColor rgb="FFFF8080"/>
      </patternFill>
    </fill>
    <fill>
      <patternFill patternType="solid">
        <fgColor rgb="FFFDEADA"/>
        <bgColor rgb="FFFFFFFF"/>
      </patternFill>
    </fill>
    <fill>
      <patternFill patternType="solid">
        <fgColor rgb="FFFFFF00"/>
        <bgColor rgb="FFFFFF00"/>
      </patternFill>
    </fill>
  </fills>
  <borders count="19">
    <border diagonalUp="false" diagonalDown="false">
      <left/>
      <right/>
      <top/>
      <bottom/>
      <diagonal/>
    </border>
    <border diagonalUp="false" diagonalDown="false">
      <left style="medium"/>
      <right style="medium"/>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color rgb="FFFF0000"/>
      </left>
      <right/>
      <top style="medium">
        <color rgb="FFFF0000"/>
      </top>
      <bottom/>
      <diagonal/>
    </border>
    <border diagonalUp="false" diagonalDown="false">
      <left/>
      <right/>
      <top style="medium">
        <color rgb="FFFF0000"/>
      </top>
      <bottom/>
      <diagonal/>
    </border>
    <border diagonalUp="false" diagonalDown="false">
      <left/>
      <right style="medium">
        <color rgb="FFFF0000"/>
      </right>
      <top style="medium">
        <color rgb="FFFF0000"/>
      </top>
      <bottom/>
      <diagonal/>
    </border>
    <border diagonalUp="false" diagonalDown="false">
      <left style="medium">
        <color rgb="FFFF0000"/>
      </left>
      <right/>
      <top/>
      <bottom style="medium">
        <color rgb="FFFF0000"/>
      </bottom>
      <diagonal/>
    </border>
    <border diagonalUp="false" diagonalDown="false">
      <left/>
      <right/>
      <top/>
      <bottom style="medium">
        <color rgb="FFFF0000"/>
      </bottom>
      <diagonal/>
    </border>
    <border diagonalUp="false" diagonalDown="false">
      <left/>
      <right style="medium">
        <color rgb="FFFF0000"/>
      </right>
      <top/>
      <bottom style="medium">
        <color rgb="FFFF000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5" fillId="3" borderId="1" xfId="0" applyFont="true" applyBorder="true" applyAlignment="true" applyProtection="false">
      <alignment horizontal="center" vertical="bottom"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0" fillId="0" borderId="3" xfId="0" applyFont="false" applyBorder="true" applyAlignment="true" applyProtection="false">
      <alignment horizontal="center" vertical="bottom" textRotation="0" wrapText="false" indent="0" shrinkToFit="false"/>
      <protection locked="true" hidden="false"/>
    </xf>
    <xf numFmtId="164" fontId="6" fillId="4" borderId="4" xfId="0" applyFont="true" applyBorder="true" applyAlignment="true" applyProtection="true">
      <alignment horizontal="center" vertical="bottom" textRotation="0" wrapText="false" indent="0" shrinkToFit="false"/>
      <protection locked="fals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5" fontId="7" fillId="5" borderId="4" xfId="0" applyFont="true" applyBorder="true" applyAlignment="true" applyProtection="false">
      <alignment horizontal="center" vertical="bottom" textRotation="0" wrapText="false" indent="0" shrinkToFit="false"/>
      <protection locked="true" hidden="false"/>
    </xf>
    <xf numFmtId="164" fontId="0" fillId="0" borderId="5"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xf numFmtId="164" fontId="6" fillId="4" borderId="6" xfId="0" applyFont="true" applyBorder="true" applyAlignment="true" applyProtection="true">
      <alignment horizontal="center" vertical="bottom" textRotation="0" wrapText="false" indent="0" shrinkToFit="false"/>
      <protection locked="fals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5" fontId="7" fillId="5" borderId="6" xfId="0" applyFont="true" applyBorder="true" applyAlignment="true" applyProtection="false">
      <alignment horizontal="center" vertical="bottom" textRotation="0" wrapText="false" indent="0" shrinkToFit="false"/>
      <protection locked="tru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0" fillId="0" borderId="8" xfId="0" applyFont="true" applyBorder="true" applyAlignment="false" applyProtection="false">
      <alignment horizontal="general" vertical="bottom" textRotation="0" wrapText="false" indent="0" shrinkToFit="false"/>
      <protection locked="true" hidden="false"/>
    </xf>
    <xf numFmtId="165" fontId="7" fillId="5" borderId="9" xfId="0" applyFont="true" applyBorder="true" applyAlignment="true" applyProtection="false">
      <alignment horizontal="center" vertical="bottom" textRotation="0" wrapText="false" indent="0" shrinkToFit="false"/>
      <protection locked="true" hidden="false"/>
    </xf>
    <xf numFmtId="165" fontId="4" fillId="6" borderId="6" xfId="0" applyFont="true" applyBorder="true" applyAlignment="true" applyProtection="false">
      <alignment horizontal="center" vertical="bottom" textRotation="0" wrapText="false" indent="0" shrinkToFit="false"/>
      <protection locked="true" hidden="false"/>
    </xf>
    <xf numFmtId="165" fontId="7" fillId="5" borderId="4"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6" fillId="4" borderId="6" xfId="0" applyFont="true" applyBorder="true" applyAlignment="true" applyProtection="true">
      <alignment horizontal="center" vertical="bottom" textRotation="0" wrapText="false" indent="0" shrinkToFit="false"/>
      <protection locked="false" hidden="false"/>
    </xf>
    <xf numFmtId="166" fontId="7" fillId="5" borderId="6" xfId="0" applyFont="true" applyBorder="true" applyAlignment="false" applyProtection="false">
      <alignment horizontal="general" vertical="bottom" textRotation="0" wrapText="false" indent="0" shrinkToFit="false"/>
      <protection locked="true" hidden="false"/>
    </xf>
    <xf numFmtId="166" fontId="0" fillId="0" borderId="0" xfId="0" applyFont="false" applyBorder="true" applyAlignment="false" applyProtection="false">
      <alignment horizontal="general" vertical="bottom" textRotation="0" wrapText="false" indent="0" shrinkToFit="false"/>
      <protection locked="true" hidden="false"/>
    </xf>
    <xf numFmtId="165" fontId="0" fillId="0" borderId="6" xfId="0" applyFont="false" applyBorder="true" applyAlignment="false" applyProtection="false">
      <alignment horizontal="general" vertical="bottom" textRotation="0" wrapText="fals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7" fontId="7" fillId="5" borderId="6" xfId="0" applyFont="true" applyBorder="true" applyAlignment="true" applyProtection="false">
      <alignment horizontal="center" vertical="bottom" textRotation="0" wrapText="false" indent="0" shrinkToFit="false"/>
      <protection locked="true" hidden="false"/>
    </xf>
    <xf numFmtId="164" fontId="0" fillId="0" borderId="10" xfId="0" applyFont="true" applyBorder="true" applyAlignment="false" applyProtection="false">
      <alignment horizontal="general" vertical="bottom" textRotation="0" wrapText="fals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5" fontId="9" fillId="5" borderId="12"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center" vertical="bottom" textRotation="0" wrapText="false" indent="0" shrinkToFit="false"/>
      <protection locked="true" hidden="false"/>
    </xf>
    <xf numFmtId="164" fontId="0" fillId="3" borderId="1" xfId="0" applyFont="true" applyBorder="true" applyAlignment="true" applyProtection="false">
      <alignment horizontal="center" vertical="bottom" textRotation="0" wrapText="false" indent="0" shrinkToFit="false"/>
      <protection locked="true" hidden="false"/>
    </xf>
    <xf numFmtId="165" fontId="0" fillId="0" borderId="0" xfId="0" applyFont="fals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true" applyProtection="false">
      <alignment horizontal="center" vertical="bottom" textRotation="0" wrapText="false" indent="0" shrinkToFit="false"/>
      <protection locked="true" hidden="false"/>
    </xf>
    <xf numFmtId="168" fontId="7" fillId="5" borderId="9" xfId="0" applyFont="true" applyBorder="true" applyAlignment="true" applyProtection="false">
      <alignment horizontal="center" vertical="bottom" textRotation="0" wrapText="false" indent="0" shrinkToFit="false"/>
      <protection locked="true" hidden="false"/>
    </xf>
    <xf numFmtId="164" fontId="4" fillId="7" borderId="0" xfId="0" applyFont="true" applyBorder="true" applyAlignment="false" applyProtection="false">
      <alignment horizontal="general" vertical="bottom" textRotation="0" wrapText="false" indent="0" shrinkToFit="false"/>
      <protection locked="true" hidden="false"/>
    </xf>
    <xf numFmtId="168" fontId="4" fillId="7"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xf numFmtId="169" fontId="4" fillId="6" borderId="4" xfId="0" applyFont="true" applyBorder="true" applyAlignment="false" applyProtection="false">
      <alignment horizontal="general" vertical="bottom" textRotation="0" wrapText="false" indent="0" shrinkToFit="false"/>
      <protection locked="true" hidden="false"/>
    </xf>
    <xf numFmtId="168" fontId="4" fillId="6" borderId="9" xfId="0" applyFont="true" applyBorder="true" applyAlignment="false" applyProtection="false">
      <alignment horizontal="general" vertical="bottom" textRotation="0" wrapText="false" indent="0" shrinkToFit="false"/>
      <protection locked="true" hidden="false"/>
    </xf>
    <xf numFmtId="164" fontId="5" fillId="0" borderId="13" xfId="0" applyFont="true" applyBorder="true" applyAlignment="false" applyProtection="false">
      <alignment horizontal="general" vertical="bottom" textRotation="0" wrapText="false" indent="0" shrinkToFit="false"/>
      <protection locked="true" hidden="false"/>
    </xf>
    <xf numFmtId="164" fontId="0" fillId="0" borderId="14" xfId="0" applyFont="false" applyBorder="true" applyAlignment="false" applyProtection="false">
      <alignment horizontal="general" vertical="bottom" textRotation="0" wrapText="false" indent="0" shrinkToFit="false"/>
      <protection locked="true" hidden="false"/>
    </xf>
    <xf numFmtId="164" fontId="5" fillId="0" borderId="14" xfId="0" applyFont="true" applyBorder="true" applyAlignment="false" applyProtection="false">
      <alignment horizontal="general" vertical="bottom" textRotation="0" wrapText="false" indent="0" shrinkToFit="false"/>
      <protection locked="true" hidden="false"/>
    </xf>
    <xf numFmtId="169" fontId="4" fillId="6" borderId="15" xfId="0" applyFont="true" applyBorder="true" applyAlignment="false" applyProtection="false">
      <alignment horizontal="general" vertical="bottom" textRotation="0" wrapText="false" indent="0" shrinkToFit="false"/>
      <protection locked="true" hidden="false"/>
    </xf>
    <xf numFmtId="164" fontId="0" fillId="0" borderId="16" xfId="0" applyFont="false" applyBorder="true" applyAlignment="false" applyProtection="false">
      <alignment horizontal="general" vertical="bottom" textRotation="0" wrapText="false" indent="0" shrinkToFit="false"/>
      <protection locked="true" hidden="false"/>
    </xf>
    <xf numFmtId="164" fontId="0" fillId="0" borderId="17" xfId="0" applyFont="false" applyBorder="true" applyAlignment="false" applyProtection="false">
      <alignment horizontal="general" vertical="bottom" textRotation="0" wrapText="false" indent="0" shrinkToFit="false"/>
      <protection locked="true" hidden="false"/>
    </xf>
    <xf numFmtId="164" fontId="5" fillId="0" borderId="17" xfId="0" applyFont="true" applyBorder="true" applyAlignment="false" applyProtection="false">
      <alignment horizontal="general" vertical="bottom" textRotation="0" wrapText="false" indent="0" shrinkToFit="false"/>
      <protection locked="true" hidden="false"/>
    </xf>
    <xf numFmtId="168" fontId="4" fillId="6" borderId="18"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ED1C24"/>
      <rgbColor rgb="FFFDEADA"/>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9A870"/>
      <rgbColor rgb="FF3366FF"/>
      <rgbColor rgb="FF33CCCC"/>
      <rgbColor rgb="FF89C765"/>
      <rgbColor rgb="FFFFCC00"/>
      <rgbColor rgb="FFFF9900"/>
      <rgbColor rgb="FFFF6600"/>
      <rgbColor rgb="FF666699"/>
      <rgbColor rgb="FF8F93C7"/>
      <rgbColor rgb="FF003366"/>
      <rgbColor rgb="FF339966"/>
      <rgbColor rgb="FF003300"/>
      <rgbColor rgb="FF333300"/>
      <rgbColor rgb="FFCE181E"/>
      <rgbColor rgb="FF993366"/>
      <rgbColor rgb="FF21409A"/>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6</xdr:col>
      <xdr:colOff>192960</xdr:colOff>
      <xdr:row>21</xdr:row>
      <xdr:rowOff>178920</xdr:rowOff>
    </xdr:from>
    <xdr:to>
      <xdr:col>7</xdr:col>
      <xdr:colOff>173520</xdr:colOff>
      <xdr:row>25</xdr:row>
      <xdr:rowOff>85680</xdr:rowOff>
    </xdr:to>
    <xdr:sp>
      <xdr:nvSpPr>
        <xdr:cNvPr id="0" name="CustomShape 1"/>
        <xdr:cNvSpPr/>
      </xdr:nvSpPr>
      <xdr:spPr>
        <a:xfrm>
          <a:off x="7265520" y="4025520"/>
          <a:ext cx="2329200" cy="672480"/>
        </a:xfrm>
        <a:prstGeom prst="rect">
          <a:avLst/>
        </a:prstGeom>
        <a:noFill/>
        <a:ln w="0">
          <a:noFill/>
        </a:ln>
      </xdr:spPr>
      <xdr:style>
        <a:lnRef idx="0"/>
        <a:fillRef idx="0"/>
        <a:effectRef idx="0"/>
        <a:fontRef idx="minor"/>
      </xdr:style>
      <xdr:txBody>
        <a:bodyPr lIns="0" rIns="0" tIns="0" bIns="0">
          <a:noAutofit/>
        </a:bodyPr>
        <a:p>
          <a:pPr>
            <a:lnSpc>
              <a:spcPct val="100000"/>
            </a:lnSpc>
          </a:pPr>
          <a:r>
            <a:rPr b="0" lang="en-US" sz="1200" spc="-1" strike="noStrike">
              <a:solidFill>
                <a:srgbClr val="ce181e"/>
              </a:solidFill>
              <a:latin typeface="Times New Roman"/>
            </a:rPr>
            <a:t>Approximate method, DO NOT USE FOR DETAIL DESIGN. ALWAYS CONSULT A REPUTABLE COMPANY</a:t>
          </a:r>
          <a:endParaRPr b="0" lang="en-SG" sz="1200" spc="-1" strike="noStrike">
            <a:latin typeface="Times New Roman"/>
          </a:endParaRPr>
        </a:p>
      </xdr:txBody>
    </xdr:sp>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1048576"/>
  <sheetViews>
    <sheetView showFormulas="false" showGridLines="true" showRowColHeaders="true" showZeros="true" rightToLeft="false" tabSelected="true" showOutlineSymbols="true" defaultGridColor="true" view="normal" topLeftCell="A1" colorId="64" zoomScale="70" zoomScaleNormal="70" zoomScalePageLayoutView="100" workbookViewId="0">
      <selection pane="topLeft" activeCell="C34" activeCellId="0" sqref="C34"/>
    </sheetView>
  </sheetViews>
  <sheetFormatPr defaultColWidth="11.43359375" defaultRowHeight="15" zeroHeight="false" outlineLevelRow="0" outlineLevelCol="0"/>
  <cols>
    <col collapsed="false" customWidth="true" hidden="false" outlineLevel="0" max="2" min="2" style="0" width="42.57"/>
    <col collapsed="false" customWidth="true" hidden="false" outlineLevel="0" max="4" min="4" style="0" width="11.99"/>
    <col collapsed="false" customWidth="true" hidden="false" outlineLevel="0" max="7" min="7" style="0" width="33.29"/>
    <col collapsed="false" customWidth="true" hidden="false" outlineLevel="0" max="10" min="10" style="0" width="11.99"/>
    <col collapsed="false" customWidth="true" hidden="false" outlineLevel="0" max="14" min="14" style="0" width="11.99"/>
  </cols>
  <sheetData>
    <row r="1" s="2" customFormat="true" ht="12.8" hidden="false" customHeight="false" outlineLevel="0" collapsed="false">
      <c r="A1" s="1" t="s">
        <v>0</v>
      </c>
    </row>
    <row r="2" customFormat="false" ht="13.8" hidden="false" customHeight="false" outlineLevel="0" collapsed="false">
      <c r="B2" s="3"/>
    </row>
    <row r="3" customFormat="false" ht="13.8" hidden="false" customHeight="false" outlineLevel="0" collapsed="false">
      <c r="B3" s="4" t="s">
        <v>1</v>
      </c>
      <c r="C3" s="4"/>
      <c r="D3" s="4"/>
      <c r="E3" s="4"/>
      <c r="F3" s="4"/>
      <c r="G3" s="4"/>
      <c r="H3" s="4"/>
      <c r="I3" s="4"/>
      <c r="J3" s="4"/>
    </row>
    <row r="4" customFormat="false" ht="15.75" hidden="false" customHeight="false" outlineLevel="0" collapsed="false">
      <c r="B4" s="5" t="s">
        <v>2</v>
      </c>
      <c r="C4" s="5"/>
      <c r="D4" s="5"/>
      <c r="E4" s="5"/>
      <c r="G4" s="5" t="s">
        <v>3</v>
      </c>
      <c r="H4" s="5"/>
      <c r="I4" s="5"/>
      <c r="J4" s="5"/>
    </row>
    <row r="5" customFormat="false" ht="13.8" hidden="false" customHeight="false" outlineLevel="0" collapsed="false">
      <c r="B5" s="6" t="s">
        <v>4</v>
      </c>
      <c r="C5" s="7"/>
      <c r="D5" s="7"/>
      <c r="E5" s="8" t="s">
        <v>5</v>
      </c>
      <c r="G5" s="6" t="s">
        <v>6</v>
      </c>
      <c r="H5" s="9" t="s">
        <v>7</v>
      </c>
      <c r="I5" s="9" t="s">
        <v>8</v>
      </c>
      <c r="J5" s="10" t="n">
        <f aca="false">4*E21*(8.314/(29/1000))*(273.15+E14)/(PI()*E25^2*(1+E15)*100000)</f>
        <v>17.1690171428571</v>
      </c>
    </row>
    <row r="6" customFormat="false" ht="13.8" hidden="false" customHeight="false" outlineLevel="0" collapsed="false">
      <c r="B6" s="11" t="s">
        <v>9</v>
      </c>
      <c r="C6" s="12"/>
      <c r="D6" s="12"/>
      <c r="E6" s="13" t="s">
        <v>10</v>
      </c>
      <c r="G6" s="11" t="s">
        <v>11</v>
      </c>
      <c r="H6" s="14" t="s">
        <v>12</v>
      </c>
      <c r="I6" s="14" t="s">
        <v>8</v>
      </c>
      <c r="J6" s="15" t="n">
        <f aca="false">4*E21*(8.314/(29/1000))*(273.15+E14)/(PI()*E25^2*(1+E17)*100000)</f>
        <v>30.04578</v>
      </c>
    </row>
    <row r="7" customFormat="false" ht="13.8" hidden="false" customHeight="false" outlineLevel="0" collapsed="false">
      <c r="B7" s="11" t="s">
        <v>13</v>
      </c>
      <c r="C7" s="12"/>
      <c r="D7" s="12" t="s">
        <v>14</v>
      </c>
      <c r="E7" s="13" t="n">
        <v>30000</v>
      </c>
      <c r="G7" s="16" t="s">
        <v>15</v>
      </c>
      <c r="H7" s="17" t="s">
        <v>16</v>
      </c>
      <c r="I7" s="17" t="s">
        <v>8</v>
      </c>
      <c r="J7" s="18" t="n">
        <f aca="false">(J5+J6)/2</f>
        <v>23.6073985714286</v>
      </c>
    </row>
    <row r="8" customFormat="false" ht="13.8" hidden="false" customHeight="false" outlineLevel="0" collapsed="false">
      <c r="B8" s="11" t="s">
        <v>17</v>
      </c>
      <c r="C8" s="12"/>
      <c r="D8" s="12" t="s">
        <v>18</v>
      </c>
      <c r="E8" s="13" t="n">
        <v>750</v>
      </c>
    </row>
    <row r="9" customFormat="false" ht="13.8" hidden="false" customHeight="false" outlineLevel="0" collapsed="false">
      <c r="B9" s="11" t="s">
        <v>19</v>
      </c>
      <c r="C9" s="12"/>
      <c r="D9" s="12" t="s">
        <v>8</v>
      </c>
      <c r="E9" s="13" t="n">
        <v>14.2</v>
      </c>
      <c r="G9" s="5" t="s">
        <v>20</v>
      </c>
      <c r="H9" s="5"/>
      <c r="I9" s="5"/>
      <c r="J9" s="5"/>
    </row>
    <row r="10" customFormat="false" ht="15" hidden="false" customHeight="false" outlineLevel="0" collapsed="false">
      <c r="B10" s="11" t="s">
        <v>21</v>
      </c>
      <c r="C10" s="12"/>
      <c r="D10" s="12" t="s">
        <v>8</v>
      </c>
      <c r="E10" s="19" t="n">
        <f aca="false">E9*1.2</f>
        <v>17.04</v>
      </c>
      <c r="G10" s="6" t="s">
        <v>20</v>
      </c>
      <c r="H10" s="9" t="s">
        <v>22</v>
      </c>
      <c r="I10" s="9" t="s">
        <v>23</v>
      </c>
      <c r="J10" s="20" t="n">
        <f aca="false">H15</f>
        <v>0.00448423358263694</v>
      </c>
      <c r="L10" s="3" t="s">
        <v>24</v>
      </c>
      <c r="M10" s="21"/>
      <c r="N10" s="21"/>
      <c r="O10" s="21"/>
    </row>
    <row r="11" customFormat="false" ht="13.8" hidden="false" customHeight="false" outlineLevel="0" collapsed="false">
      <c r="B11" s="11" t="s">
        <v>25</v>
      </c>
      <c r="C11" s="12"/>
      <c r="D11" s="12"/>
      <c r="E11" s="22" t="s">
        <v>26</v>
      </c>
      <c r="G11" s="11" t="s">
        <v>27</v>
      </c>
      <c r="H11" s="14" t="s">
        <v>28</v>
      </c>
      <c r="I11" s="14" t="s">
        <v>23</v>
      </c>
      <c r="J11" s="23" t="n">
        <f aca="false">E25*J7*((E16+E18)/2)/E13</f>
        <v>421158.369881894</v>
      </c>
    </row>
    <row r="12" customFormat="false" ht="13.8" hidden="false" customHeight="false" outlineLevel="0" collapsed="false">
      <c r="B12" s="11" t="s">
        <v>29</v>
      </c>
      <c r="C12" s="12" t="s">
        <v>30</v>
      </c>
      <c r="D12" s="12" t="s">
        <v>31</v>
      </c>
      <c r="E12" s="22" t="n">
        <v>29</v>
      </c>
      <c r="G12" s="11" t="s">
        <v>32</v>
      </c>
      <c r="H12" s="14" t="n">
        <f aca="false">8*(I12^12+J12)^(1/12)</f>
        <v>0.0179369343305478</v>
      </c>
      <c r="I12" s="24" t="n">
        <f aca="false">8/J11</f>
        <v>1.89952297570233E-005</v>
      </c>
      <c r="J12" s="25" t="n">
        <f aca="false">1/(H13+H14)^1.5</f>
        <v>1.61398232250099E-032</v>
      </c>
    </row>
    <row r="13" customFormat="false" ht="13.8" hidden="false" customHeight="false" outlineLevel="0" collapsed="false">
      <c r="B13" s="11" t="s">
        <v>33</v>
      </c>
      <c r="C13" s="12" t="s">
        <v>34</v>
      </c>
      <c r="D13" s="12" t="s">
        <v>35</v>
      </c>
      <c r="E13" s="22" t="n">
        <v>1.8E-005</v>
      </c>
      <c r="G13" s="11" t="s">
        <v>36</v>
      </c>
      <c r="H13" s="14" t="n">
        <f aca="false">(2.457*LN(1/((I13)^0.9+J13)))^16</f>
        <v>1.56579229218407E+021</v>
      </c>
      <c r="I13" s="24" t="n">
        <f aca="false">7/J11</f>
        <v>1.66208260373954E-005</v>
      </c>
      <c r="J13" s="25" t="n">
        <f aca="false">0.27*(E26/1000)/E25</f>
        <v>0.000135</v>
      </c>
    </row>
    <row r="14" customFormat="false" ht="13.8" hidden="false" customHeight="false" outlineLevel="0" collapsed="false">
      <c r="B14" s="11" t="s">
        <v>37</v>
      </c>
      <c r="C14" s="12" t="s">
        <v>38</v>
      </c>
      <c r="D14" s="12" t="s">
        <v>39</v>
      </c>
      <c r="E14" s="22" t="n">
        <v>27</v>
      </c>
      <c r="G14" s="11" t="s">
        <v>40</v>
      </c>
      <c r="H14" s="14" t="n">
        <f aca="false">(37530/J11)^16</f>
        <v>1.58099338830571E-017</v>
      </c>
      <c r="I14" s="14"/>
      <c r="J14" s="25"/>
    </row>
    <row r="15" customFormat="false" ht="15.75" hidden="false" customHeight="false" outlineLevel="0" collapsed="false">
      <c r="B15" s="11" t="s">
        <v>41</v>
      </c>
      <c r="C15" s="12" t="s">
        <v>42</v>
      </c>
      <c r="D15" s="12" t="s">
        <v>43</v>
      </c>
      <c r="E15" s="15" t="n">
        <f aca="false">IF(E5="Pressure",E8/1000,0)</f>
        <v>0.75</v>
      </c>
      <c r="G15" s="16"/>
      <c r="H15" s="17" t="n">
        <f aca="false">H12/4</f>
        <v>0.00448423358263694</v>
      </c>
      <c r="I15" s="17"/>
      <c r="J15" s="26"/>
    </row>
    <row r="16" customFormat="false" ht="15.75" hidden="false" customHeight="false" outlineLevel="0" collapsed="false">
      <c r="B16" s="11" t="s">
        <v>44</v>
      </c>
      <c r="C16" s="12" t="s">
        <v>45</v>
      </c>
      <c r="D16" s="12" t="s">
        <v>46</v>
      </c>
      <c r="E16" s="27" t="n">
        <f aca="false">(1.01325+E15)*100000*($E$12/1000)/(8.314*(273.15+$E$14))</f>
        <v>2.0491017421287</v>
      </c>
    </row>
    <row r="17" customFormat="false" ht="15.75" hidden="false" customHeight="false" outlineLevel="0" collapsed="false">
      <c r="B17" s="11" t="s">
        <v>47</v>
      </c>
      <c r="C17" s="12" t="s">
        <v>48</v>
      </c>
      <c r="D17" s="12" t="s">
        <v>43</v>
      </c>
      <c r="E17" s="15" t="n">
        <f aca="false">IF(E5="Pressure",0,-E8/1000)</f>
        <v>0</v>
      </c>
      <c r="G17" s="28" t="s">
        <v>49</v>
      </c>
      <c r="H17" s="29"/>
      <c r="I17" s="29"/>
      <c r="J17" s="30" t="n">
        <f aca="false">4*J10*E30/E25</f>
        <v>16.5916642557567</v>
      </c>
    </row>
    <row r="18" customFormat="false" ht="15.75" hidden="false" customHeight="false" outlineLevel="0" collapsed="false">
      <c r="B18" s="11" t="s">
        <v>44</v>
      </c>
      <c r="C18" s="12" t="s">
        <v>45</v>
      </c>
      <c r="D18" s="12" t="s">
        <v>46</v>
      </c>
      <c r="E18" s="27" t="n">
        <f aca="false">(1+E17)*100000*($E$12/1000)/(8.314*(273.15+$E$14))</f>
        <v>1.16211639990285</v>
      </c>
      <c r="F18" s="14"/>
      <c r="G18" s="14"/>
      <c r="H18" s="14"/>
      <c r="I18" s="14"/>
      <c r="J18" s="14"/>
      <c r="K18" s="14"/>
      <c r="L18" s="14"/>
      <c r="M18" s="14"/>
      <c r="N18" s="14"/>
      <c r="O18" s="14"/>
    </row>
    <row r="19" customFormat="false" ht="13.8" hidden="false" customHeight="false" outlineLevel="0" collapsed="false">
      <c r="B19" s="11" t="s">
        <v>50</v>
      </c>
      <c r="C19" s="14"/>
      <c r="D19" s="31" t="s">
        <v>51</v>
      </c>
      <c r="E19" s="27" t="n">
        <f aca="false">E10*PI()*E25^2/4*3600</f>
        <v>1927.17859741812</v>
      </c>
      <c r="F19" s="14"/>
      <c r="G19" s="32" t="s">
        <v>52</v>
      </c>
      <c r="H19" s="32"/>
      <c r="I19" s="32"/>
      <c r="J19" s="32"/>
      <c r="K19" s="14"/>
      <c r="L19" s="14"/>
      <c r="M19" s="14"/>
      <c r="N19" s="14"/>
      <c r="O19" s="14"/>
    </row>
    <row r="20" customFormat="false" ht="15" hidden="false" customHeight="false" outlineLevel="0" collapsed="false">
      <c r="B20" s="11" t="s">
        <v>53</v>
      </c>
      <c r="C20" s="12" t="s">
        <v>54</v>
      </c>
      <c r="D20" s="12" t="s">
        <v>14</v>
      </c>
      <c r="E20" s="27" t="n">
        <f aca="false">E19*E16</f>
        <v>3948.98502136261</v>
      </c>
      <c r="F20" s="14"/>
      <c r="G20" s="14" t="s">
        <v>55</v>
      </c>
      <c r="H20" s="14" t="s">
        <v>56</v>
      </c>
      <c r="I20" s="33" t="n">
        <f aca="false">101.3*(((1+J17*J6^2/(287*(E14+273.15)))^0.5-1))*10/1000</f>
        <v>0.0845399498470741</v>
      </c>
      <c r="J20" s="14" t="s">
        <v>57</v>
      </c>
      <c r="K20" s="14"/>
      <c r="L20" s="14"/>
      <c r="M20" s="14"/>
      <c r="N20" s="14"/>
      <c r="O20" s="14"/>
    </row>
    <row r="21" customFormat="false" ht="15.75" hidden="false" customHeight="false" outlineLevel="0" collapsed="false">
      <c r="B21" s="16"/>
      <c r="C21" s="34"/>
      <c r="D21" s="34" t="s">
        <v>58</v>
      </c>
      <c r="E21" s="35" t="n">
        <f aca="false">E20/3600</f>
        <v>1.09694028371184</v>
      </c>
      <c r="F21" s="14"/>
      <c r="G21" s="14" t="s">
        <v>42</v>
      </c>
      <c r="H21" s="14" t="s">
        <v>56</v>
      </c>
      <c r="I21" s="33" t="n">
        <f aca="false">0.5*(101.3+I20*100+((101.3+I20*100)^2+((E7/1000)*(273.15+E14)*I20*100)/(2.46*J5*E25^2))^0.5)*10/1000</f>
        <v>1.7436014296248</v>
      </c>
      <c r="J21" s="14" t="s">
        <v>59</v>
      </c>
      <c r="K21" s="14"/>
      <c r="L21" s="14"/>
      <c r="M21" s="14"/>
      <c r="N21" s="33"/>
      <c r="O21" s="33"/>
    </row>
    <row r="22" customFormat="false" ht="15" hidden="false" customHeight="false" outlineLevel="0" collapsed="false">
      <c r="E22" s="0" t="n">
        <f aca="false">E7/E20</f>
        <v>7.59688877970178</v>
      </c>
      <c r="F22" s="14"/>
      <c r="G22" s="36" t="s">
        <v>60</v>
      </c>
      <c r="H22" s="36" t="s">
        <v>56</v>
      </c>
      <c r="I22" s="37" t="n">
        <f aca="false">I21-1.01325</f>
        <v>0.730351429624798</v>
      </c>
      <c r="J22" s="36" t="s">
        <v>61</v>
      </c>
      <c r="K22" s="14"/>
      <c r="L22" s="14"/>
      <c r="M22" s="14"/>
      <c r="N22" s="14"/>
      <c r="O22" s="14"/>
    </row>
    <row r="23" customFormat="false" ht="15.75" hidden="false" customHeight="false" outlineLevel="0" collapsed="false">
      <c r="E23" s="0" t="n">
        <f aca="false">E7/3600/(PI()*E25^2/4)</f>
        <v>265.258238486492</v>
      </c>
      <c r="F23" s="14"/>
      <c r="G23" s="14"/>
      <c r="H23" s="14"/>
      <c r="I23" s="14"/>
      <c r="J23" s="14"/>
      <c r="K23" s="14"/>
      <c r="L23" s="14"/>
      <c r="M23" s="14"/>
      <c r="N23" s="14"/>
      <c r="O23" s="14"/>
    </row>
    <row r="24" customFormat="false" ht="15.75" hidden="false" customHeight="false" outlineLevel="0" collapsed="false">
      <c r="B24" s="5" t="s">
        <v>62</v>
      </c>
      <c r="C24" s="5"/>
      <c r="D24" s="5"/>
      <c r="E24" s="5"/>
      <c r="F24" s="14"/>
      <c r="G24" s="32" t="s">
        <v>63</v>
      </c>
      <c r="H24" s="32"/>
      <c r="I24" s="32"/>
      <c r="J24" s="32"/>
      <c r="K24" s="14"/>
      <c r="L24" s="14"/>
      <c r="M24" s="14"/>
      <c r="N24" s="14"/>
      <c r="O24" s="14"/>
    </row>
    <row r="25" customFormat="false" ht="13.8" hidden="false" customHeight="false" outlineLevel="0" collapsed="false">
      <c r="B25" s="6" t="s">
        <v>64</v>
      </c>
      <c r="C25" s="7" t="s">
        <v>65</v>
      </c>
      <c r="D25" s="7" t="s">
        <v>66</v>
      </c>
      <c r="E25" s="8" t="n">
        <v>0.2</v>
      </c>
      <c r="F25" s="14"/>
      <c r="G25" s="14" t="s">
        <v>55</v>
      </c>
      <c r="H25" s="14" t="s">
        <v>56</v>
      </c>
      <c r="I25" s="14" t="n">
        <f aca="false">101.3*(1-(1-J17*J5^2/(287*(E14+273.15)))^0.5)/100</f>
        <v>0.029176949543834</v>
      </c>
      <c r="J25" s="33" t="s">
        <v>67</v>
      </c>
      <c r="K25" s="14"/>
      <c r="L25" s="14"/>
      <c r="M25" s="14"/>
      <c r="N25" s="14"/>
      <c r="O25" s="14"/>
    </row>
    <row r="26" customFormat="false" ht="13.8" hidden="false" customHeight="false" outlineLevel="0" collapsed="false">
      <c r="B26" s="11" t="s">
        <v>68</v>
      </c>
      <c r="C26" s="12" t="s">
        <v>69</v>
      </c>
      <c r="D26" s="12" t="s">
        <v>70</v>
      </c>
      <c r="E26" s="13" t="n">
        <v>0.1</v>
      </c>
      <c r="F26" s="14"/>
      <c r="G26" s="36" t="s">
        <v>60</v>
      </c>
      <c r="H26" s="36" t="s">
        <v>56</v>
      </c>
      <c r="I26" s="37" t="n">
        <f aca="false">I25*(0.1015*E7/1000*(273.15+'Air only pressure drop'!E14)/('Air only pressure drop'!J5*'Air only pressure drop'!E25^2*101.3)+1)</f>
        <v>0.412487398392785</v>
      </c>
      <c r="J26" s="36" t="s">
        <v>61</v>
      </c>
      <c r="K26" s="14"/>
      <c r="L26" s="14"/>
      <c r="M26" s="14"/>
      <c r="N26" s="14"/>
      <c r="O26" s="14"/>
    </row>
    <row r="27" customFormat="false" ht="13.8" hidden="false" customHeight="false" outlineLevel="0" collapsed="false">
      <c r="B27" s="11" t="s">
        <v>71</v>
      </c>
      <c r="C27" s="12"/>
      <c r="D27" s="12"/>
      <c r="E27" s="13" t="n">
        <v>110</v>
      </c>
      <c r="F27" s="14"/>
      <c r="G27" s="14"/>
      <c r="H27" s="14"/>
      <c r="I27" s="14"/>
      <c r="J27" s="14"/>
      <c r="K27" s="14"/>
      <c r="L27" s="14"/>
      <c r="M27" s="14"/>
      <c r="N27" s="14"/>
      <c r="O27" s="14"/>
    </row>
    <row r="28" customFormat="false" ht="13.8" hidden="false" customHeight="false" outlineLevel="0" collapsed="false">
      <c r="B28" s="11" t="s">
        <v>72</v>
      </c>
      <c r="C28" s="12"/>
      <c r="D28" s="12"/>
      <c r="E28" s="13" t="n">
        <v>25</v>
      </c>
      <c r="F28" s="14"/>
      <c r="G28" s="14"/>
      <c r="H28" s="14"/>
      <c r="I28" s="14"/>
      <c r="J28" s="14"/>
      <c r="K28" s="14"/>
      <c r="L28" s="14"/>
      <c r="M28" s="14"/>
      <c r="N28" s="14"/>
      <c r="O28" s="14"/>
    </row>
    <row r="29" customFormat="false" ht="13.8" hidden="false" customHeight="false" outlineLevel="0" collapsed="false">
      <c r="B29" s="11" t="s">
        <v>73</v>
      </c>
      <c r="C29" s="12"/>
      <c r="D29" s="12"/>
      <c r="E29" s="13" t="n">
        <v>5</v>
      </c>
      <c r="F29" s="14"/>
      <c r="G29" s="33"/>
      <c r="H29" s="14"/>
      <c r="I29" s="14"/>
      <c r="J29" s="14"/>
      <c r="K29" s="14"/>
      <c r="L29" s="14"/>
      <c r="M29" s="14"/>
      <c r="N29" s="14"/>
      <c r="O29" s="14"/>
    </row>
    <row r="30" customFormat="false" ht="13.8" hidden="false" customHeight="false" outlineLevel="0" collapsed="false">
      <c r="B30" s="16" t="s">
        <v>74</v>
      </c>
      <c r="C30" s="34" t="s">
        <v>75</v>
      </c>
      <c r="D30" s="34" t="s">
        <v>66</v>
      </c>
      <c r="E30" s="18" t="n">
        <f aca="false">E27+2*E28+5*E29</f>
        <v>185</v>
      </c>
      <c r="F30" s="14"/>
      <c r="G30" s="14"/>
      <c r="H30" s="14"/>
      <c r="I30" s="14"/>
      <c r="J30" s="14"/>
      <c r="K30" s="14"/>
      <c r="L30" s="14"/>
      <c r="M30" s="14"/>
      <c r="N30" s="14"/>
      <c r="O30" s="14"/>
    </row>
    <row r="31" customFormat="false" ht="15" hidden="false" customHeight="false" outlineLevel="0" collapsed="false">
      <c r="F31" s="14"/>
      <c r="G31" s="14"/>
      <c r="H31" s="14"/>
      <c r="I31" s="14"/>
      <c r="J31" s="14"/>
      <c r="K31" s="14"/>
      <c r="L31" s="14"/>
      <c r="M31" s="14"/>
      <c r="N31" s="14"/>
      <c r="O31" s="14"/>
    </row>
    <row r="32" customFormat="false" ht="12.8" hidden="false" customHeight="false" outlineLevel="0" collapsed="false">
      <c r="B32" s="38" t="s">
        <v>76</v>
      </c>
    </row>
    <row r="33" customFormat="false" ht="12.8" hidden="false" customHeight="false" outlineLevel="0" collapsed="false"/>
    <row r="34" customFormat="false" ht="12.8" hidden="false" customHeight="false" outlineLevel="0" collapsed="false">
      <c r="B34" s="39" t="s">
        <v>77</v>
      </c>
      <c r="K34" s="14"/>
      <c r="L34" s="14"/>
      <c r="M34" s="14"/>
      <c r="N34" s="14"/>
      <c r="O34" s="14"/>
    </row>
    <row r="35" customFormat="false" ht="12.8" hidden="false" customHeight="false" outlineLevel="0" collapsed="false">
      <c r="K35" s="14"/>
      <c r="L35" s="14"/>
      <c r="M35" s="14"/>
      <c r="N35" s="14"/>
      <c r="O35" s="14"/>
    </row>
    <row r="36" customFormat="false" ht="17.1" hidden="false" customHeight="true" outlineLevel="0" collapsed="false">
      <c r="B36" s="40" t="s">
        <v>78</v>
      </c>
      <c r="C36" s="40"/>
      <c r="D36" s="40"/>
      <c r="E36" s="40"/>
      <c r="F36" s="40"/>
      <c r="G36" s="40"/>
      <c r="H36" s="40"/>
      <c r="I36" s="40"/>
      <c r="J36" s="40"/>
    </row>
    <row r="38" s="2" customFormat="true" ht="12.8" hidden="false" customHeight="false" outlineLevel="0" collapsed="false">
      <c r="A38" s="1" t="s">
        <v>0</v>
      </c>
    </row>
    <row r="45" customFormat="false" ht="15" hidden="false" customHeight="false" outlineLevel="0" collapsed="false">
      <c r="J45" s="0" t="n">
        <f aca="false">64*J10*E30*E21^2*(8.314/(E12/1000))*(273.15+E14)/(PI()^2*E25^5)</f>
        <v>1740630330.36739</v>
      </c>
    </row>
    <row r="46" customFormat="false" ht="15" hidden="false" customHeight="false" outlineLevel="0" collapsed="false">
      <c r="G46" s="0" t="s">
        <v>79</v>
      </c>
      <c r="J46" s="0" t="n">
        <f aca="false">(E17*10^5+101325)^2</f>
        <v>10266755625</v>
      </c>
    </row>
    <row r="47" customFormat="false" ht="15" hidden="false" customHeight="false" outlineLevel="0" collapsed="false">
      <c r="J47" s="0" t="n">
        <f aca="false">(J46+J45)^0.5</f>
        <v>109578.218434903</v>
      </c>
    </row>
    <row r="48" customFormat="false" ht="15" hidden="false" customHeight="false" outlineLevel="0" collapsed="false">
      <c r="J48" s="0" t="n">
        <f aca="false">(E15*10^5+101325)^2</f>
        <v>31090505625</v>
      </c>
    </row>
    <row r="49" customFormat="false" ht="15.75" hidden="false" customHeight="false" outlineLevel="0" collapsed="false">
      <c r="J49" s="0" t="n">
        <f aca="false">(J48-J45)^0.5</f>
        <v>171318.053031876</v>
      </c>
    </row>
    <row r="50" customFormat="false" ht="15" hidden="false" customHeight="false" outlineLevel="0" collapsed="false">
      <c r="G50" s="6" t="s">
        <v>80</v>
      </c>
      <c r="H50" s="9" t="s">
        <v>81</v>
      </c>
      <c r="I50" s="9" t="s">
        <v>82</v>
      </c>
      <c r="J50" s="41" t="n">
        <f aca="false">IF(E5="Pressure",J47-(E17*10^5+101325),(E15*10^5+101325)-J49)</f>
        <v>8253.21843490332</v>
      </c>
    </row>
    <row r="51" customFormat="false" ht="15.75" hidden="false" customHeight="false" outlineLevel="0" collapsed="false">
      <c r="G51" s="16"/>
      <c r="H51" s="17" t="s">
        <v>81</v>
      </c>
      <c r="I51" s="17" t="s">
        <v>56</v>
      </c>
      <c r="J51" s="42" t="n">
        <f aca="false">J50/100000</f>
        <v>0.0825321843490332</v>
      </c>
    </row>
    <row r="55" customFormat="false" ht="15.75" hidden="false" customHeight="false" outlineLevel="0" collapsed="false">
      <c r="J55" s="0" t="n">
        <f aca="false">16*J17*E21^2*8.314/(E12/1000)*(273.15+E14)/(PI()^2*E25^4)</f>
        <v>1740630330.36739</v>
      </c>
    </row>
    <row r="56" customFormat="false" ht="15" hidden="false" customHeight="false" outlineLevel="0" collapsed="false">
      <c r="G56" s="43" t="s">
        <v>83</v>
      </c>
      <c r="H56" s="44"/>
      <c r="I56" s="45" t="s">
        <v>82</v>
      </c>
      <c r="J56" s="46" t="n">
        <f aca="false">IF(E5="Pressure",(J46+J55)^0.5-(E17*100000+101325),(E15*100000+101325)*(1-(1-J17*J5^2/(8.314/(E12/1000)*(E14+273.15)))^0.5))</f>
        <v>8253.21843490332</v>
      </c>
      <c r="K56" s="0" t="n">
        <f aca="false">(E17*10^5+101325)*((1+J17*J6^2/((8.314/(E12/1000)*(273.15+E14))))^0.5-1)</f>
        <v>8464.8822685155</v>
      </c>
    </row>
    <row r="57" customFormat="false" ht="15.75" hidden="false" customHeight="false" outlineLevel="0" collapsed="false">
      <c r="G57" s="47"/>
      <c r="H57" s="48"/>
      <c r="I57" s="49" t="s">
        <v>56</v>
      </c>
      <c r="J57" s="50" t="n">
        <f aca="false">J56/100000</f>
        <v>0.0825321843490332</v>
      </c>
      <c r="K57" s="0" t="n">
        <f aca="false">K56/100000</f>
        <v>0.084648822685155</v>
      </c>
    </row>
    <row r="99" customFormat="false" ht="15" hidden="false" customHeight="false" outlineLevel="0" collapsed="false">
      <c r="B99" s="0" t="s">
        <v>5</v>
      </c>
    </row>
    <row r="100" customFormat="false" ht="15" hidden="false" customHeight="false" outlineLevel="0" collapsed="false">
      <c r="B100" s="0" t="s">
        <v>84</v>
      </c>
    </row>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sheetProtection sheet="true" password="c80a" objects="true" scenarios="true"/>
  <mergeCells count="8">
    <mergeCell ref="B3:J3"/>
    <mergeCell ref="B4:E4"/>
    <mergeCell ref="G4:J4"/>
    <mergeCell ref="G9:J9"/>
    <mergeCell ref="G19:J19"/>
    <mergeCell ref="B24:E24"/>
    <mergeCell ref="G24:J24"/>
    <mergeCell ref="B36:J36"/>
  </mergeCells>
  <hyperlinks>
    <hyperlink ref="B32" r:id="rId1" display="If you spot a mistake or wish to suggest an improvement, please contact admin@powderprocess.net"/>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21</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2018-09-20T19:39:57Z</dcterms:created>
  <dc:creator/>
  <dc:description/>
  <dc:language>en-US</dc:language>
  <cp:lastModifiedBy/>
  <dcterms:modified xsi:type="dcterms:W3CDTF">2021-12-14T20:38:40Z</dcterms:modified>
  <cp:revision>9</cp:revision>
  <dc:subject/>
  <dc:title/>
</cp:coreProperties>
</file>